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36" windowWidth="18372" windowHeight="7416"/>
  </bookViews>
  <sheets>
    <sheet name="Correction" sheetId="2" r:id="rId1"/>
    <sheet name="Feuil1" sheetId="1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M21" i="2"/>
  <c r="N21"/>
  <c r="N23" s="1"/>
  <c r="N26" s="1"/>
  <c r="N28" s="1"/>
  <c r="N32" s="1"/>
  <c r="N33" s="1"/>
  <c r="M22"/>
  <c r="M23" s="1"/>
  <c r="M26" s="1"/>
  <c r="M28" s="1"/>
  <c r="M32" s="1"/>
  <c r="M33" s="1"/>
  <c r="N22"/>
  <c r="M27"/>
  <c r="N27"/>
  <c r="M31"/>
  <c r="N31"/>
  <c r="I33"/>
  <c r="H33"/>
  <c r="I32"/>
  <c r="H32"/>
  <c r="I31"/>
  <c r="H31"/>
  <c r="I28"/>
  <c r="H28"/>
  <c r="I27"/>
  <c r="H27"/>
  <c r="I26"/>
  <c r="H26"/>
  <c r="I23"/>
  <c r="H23"/>
  <c r="I22"/>
  <c r="H22"/>
  <c r="I21"/>
  <c r="H21"/>
  <c r="C24"/>
  <c r="C22"/>
  <c r="C21"/>
  <c r="H14"/>
  <c r="F14"/>
  <c r="D14"/>
  <c r="H10"/>
  <c r="F13"/>
  <c r="D8"/>
  <c r="B13"/>
  <c r="E51" i="1"/>
  <c r="C41"/>
  <c r="B41"/>
  <c r="C35"/>
  <c r="C40" s="1"/>
  <c r="B35"/>
  <c r="B40" s="1"/>
  <c r="A35"/>
  <c r="C28"/>
  <c r="C27"/>
  <c r="C26"/>
  <c r="C25"/>
  <c r="C24"/>
  <c r="B28"/>
  <c r="B27"/>
  <c r="B26"/>
  <c r="B25"/>
  <c r="B24"/>
  <c r="A23"/>
  <c r="B23"/>
  <c r="C51"/>
  <c r="B51"/>
  <c r="F7"/>
  <c r="B8" s="1"/>
  <c r="B12" s="1"/>
  <c r="C7"/>
  <c r="B7"/>
  <c r="C36" l="1"/>
  <c r="C39"/>
  <c r="C38"/>
  <c r="B39"/>
  <c r="B38"/>
  <c r="B36"/>
  <c r="C37"/>
  <c r="B37"/>
  <c r="B11"/>
  <c r="B13"/>
  <c r="B15"/>
  <c r="B17"/>
  <c r="B14"/>
  <c r="B16"/>
  <c r="B9"/>
  <c r="B6"/>
  <c r="C8"/>
  <c r="C23" s="1"/>
  <c r="B18" l="1"/>
  <c r="B19" s="1"/>
  <c r="C17"/>
  <c r="C15"/>
  <c r="C13"/>
  <c r="C16"/>
  <c r="C14"/>
  <c r="C11"/>
  <c r="C12"/>
  <c r="C9"/>
  <c r="E9" s="1"/>
  <c r="C6"/>
  <c r="C18" l="1"/>
  <c r="C19" s="1"/>
</calcChain>
</file>

<file path=xl/sharedStrings.xml><?xml version="1.0" encoding="utf-8"?>
<sst xmlns="http://schemas.openxmlformats.org/spreadsheetml/2006/main" count="97" uniqueCount="69">
  <si>
    <t>P1</t>
  </si>
  <si>
    <t>P2</t>
  </si>
  <si>
    <t>Quantité acheté</t>
  </si>
  <si>
    <t>Achats Mat Premières</t>
  </si>
  <si>
    <t>H travail/produit</t>
  </si>
  <si>
    <t>Heures totales</t>
  </si>
  <si>
    <t>% utilisé par produit</t>
  </si>
  <si>
    <t>Quantité vendue</t>
  </si>
  <si>
    <t>Prix de vente</t>
  </si>
  <si>
    <t>CA</t>
  </si>
  <si>
    <t>Prix achat</t>
  </si>
  <si>
    <t>Phase approvisionnement</t>
  </si>
  <si>
    <t>Entretien, réparations</t>
  </si>
  <si>
    <t>Transport</t>
  </si>
  <si>
    <t>Impôts</t>
  </si>
  <si>
    <t>Charges d'intérêts</t>
  </si>
  <si>
    <t>Dotations aux amortissement</t>
  </si>
  <si>
    <t>Salaires directs d'approvisionnement</t>
  </si>
  <si>
    <t>Charges sur salaires directs approv</t>
  </si>
  <si>
    <t>Coût de revient</t>
  </si>
  <si>
    <t>Coût de revient/unité</t>
  </si>
  <si>
    <t>Résultat</t>
  </si>
  <si>
    <t>Phase production</t>
  </si>
  <si>
    <t>Phase distribution</t>
  </si>
  <si>
    <t>Honoraires</t>
  </si>
  <si>
    <t>CORRECTION</t>
  </si>
  <si>
    <t>Il y a des comptes qui se dispatchent sur plusieurs phases (frais d'achat, frais de production et frais de distribution).</t>
  </si>
  <si>
    <t xml:space="preserve">T = </t>
  </si>
  <si>
    <t>Frais d'achat</t>
  </si>
  <si>
    <t>Frais prod</t>
  </si>
  <si>
    <t>Appointements = rémunération des cadres</t>
  </si>
  <si>
    <t>Frais distrib</t>
  </si>
  <si>
    <t>Dotations aux provisions : que des créances de l'année précédente ==&gt; pas de rapport avec cette année</t>
  </si>
  <si>
    <t>On "oublie" les trucs VMP</t>
  </si>
  <si>
    <t>rémunération de capitaux</t>
  </si>
  <si>
    <t>Total</t>
  </si>
  <si>
    <t>Coût d'achat des matières premières = (Prix d'achat + frais d'achat</t>
  </si>
  <si>
    <t>Prix d'achat</t>
  </si>
  <si>
    <t>Coût global</t>
  </si>
  <si>
    <t>Coût unitaire</t>
  </si>
  <si>
    <t>qté achetée</t>
  </si>
  <si>
    <t>€/kg</t>
  </si>
  <si>
    <t>Coût de production des Produits finis 1 (selon heures de travail)</t>
  </si>
  <si>
    <t>Coût Mat Pre utilisées</t>
  </si>
  <si>
    <t>Frais de production</t>
  </si>
  <si>
    <t>Coût de production global</t>
  </si>
  <si>
    <t>tout rentre dans le calcul du coût de revient car tout a été vendu (&lt;=&gt; pas de stock)</t>
  </si>
  <si>
    <t>Coût de revient de Produits Finis 1</t>
  </si>
  <si>
    <t>Coût de prod des PF vendus</t>
  </si>
  <si>
    <t>Frais de distribution</t>
  </si>
  <si>
    <t>Coût de revient global</t>
  </si>
  <si>
    <t>coût de revient</t>
  </si>
  <si>
    <t>+</t>
  </si>
  <si>
    <t>/</t>
  </si>
  <si>
    <t>Résultat global</t>
  </si>
  <si>
    <t>P1 : négatif, pas bon, me fait perdre de l'argent</t>
  </si>
  <si>
    <t>Vive P2, abat P1 !</t>
  </si>
  <si>
    <t>P2 : bien</t>
  </si>
  <si>
    <t>Coût de production des Produits finis 2 (selon quantités)</t>
  </si>
  <si>
    <t>Coût de revient de Produits Finis 2</t>
  </si>
  <si>
    <t>P2 : boulet</t>
  </si>
  <si>
    <t>A mort produit P2, vive produit P1</t>
  </si>
  <si>
    <t>Comment avoir la bonne méthode ?    Changement de méthode ==&gt; changement de produit</t>
  </si>
  <si>
    <t>ex : créances,…   j'ai pris le droit de ne pas intégré ce frais dans le calcul de mes coûts</t>
  </si>
  <si>
    <t>ex : ajout 9000 €  ==&gt; rémunération des Capitaux Propres =&gt; Augmentation de capital futur ? =&gt; attirer actionnaires =&gt; augmenter capital</t>
  </si>
  <si>
    <t>Comprendre les causes. Pourquoi le coût a augmenté ? , …</t>
  </si>
  <si>
    <t>Calcul chaque mois et comparer. Ne pas changer de méthode en cours de route =&gt; pas de comparaison possible</t>
  </si>
  <si>
    <t>Causes : personne responsable, mais aussi conditions de travail, procédures connues ?, …</t>
  </si>
  <si>
    <t>Si diminution du coût : pareil =&gt; trouver conditions pour les reproduire le mois suivant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</si>
</sst>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4" fontId="0" fillId="0" borderId="0" xfId="0" applyNumberFormat="1"/>
    <xf numFmtId="4" fontId="2" fillId="0" borderId="0" xfId="0" applyNumberFormat="1" applyFont="1"/>
    <xf numFmtId="4" fontId="3" fillId="0" borderId="0" xfId="0" applyNumberFormat="1" applyFont="1"/>
    <xf numFmtId="10" fontId="0" fillId="0" borderId="0" xfId="0" applyNumberFormat="1"/>
    <xf numFmtId="4" fontId="4" fillId="0" borderId="0" xfId="0" applyNumberFormat="1" applyFont="1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0" applyNumberFormat="1"/>
    <xf numFmtId="0" fontId="2" fillId="0" borderId="0" xfId="0" applyFont="1"/>
    <xf numFmtId="166" fontId="0" fillId="0" borderId="0" xfId="1" applyNumberFormat="1" applyFont="1"/>
    <xf numFmtId="9" fontId="0" fillId="0" borderId="1" xfId="0" applyNumberFormat="1" applyBorder="1"/>
    <xf numFmtId="166" fontId="0" fillId="0" borderId="1" xfId="1" applyNumberFormat="1" applyFont="1" applyBorder="1"/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166" fontId="2" fillId="0" borderId="1" xfId="1" applyNumberFormat="1" applyFont="1" applyBorder="1"/>
    <xf numFmtId="0" fontId="2" fillId="0" borderId="1" xfId="0" applyFont="1" applyBorder="1"/>
    <xf numFmtId="166" fontId="0" fillId="0" borderId="0" xfId="0" applyNumberFormat="1"/>
    <xf numFmtId="166" fontId="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66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166" fontId="5" fillId="0" borderId="1" xfId="0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43" fontId="0" fillId="0" borderId="0" xfId="1" applyFont="1" applyBorder="1"/>
    <xf numFmtId="9" fontId="0" fillId="0" borderId="0" xfId="0" applyNumberFormat="1" applyBorder="1"/>
    <xf numFmtId="166" fontId="0" fillId="0" borderId="0" xfId="1" applyNumberFormat="1" applyFont="1" applyBorder="1"/>
    <xf numFmtId="0" fontId="4" fillId="0" borderId="0" xfId="0" applyFont="1" applyBorder="1"/>
    <xf numFmtId="0" fontId="0" fillId="0" borderId="0" xfId="0" applyBorder="1" applyAlignment="1">
      <alignment wrapText="1"/>
    </xf>
    <xf numFmtId="43" fontId="0" fillId="0" borderId="0" xfId="0" applyNumberFormat="1" applyBorder="1"/>
    <xf numFmtId="166" fontId="2" fillId="0" borderId="0" xfId="1" applyNumberFormat="1" applyFont="1" applyBorder="1"/>
    <xf numFmtId="0" fontId="0" fillId="0" borderId="0" xfId="0" applyBorder="1" applyAlignment="1">
      <alignment horizontal="right"/>
    </xf>
    <xf numFmtId="166" fontId="0" fillId="0" borderId="0" xfId="0" applyNumberFormat="1" applyBorder="1"/>
    <xf numFmtId="166" fontId="2" fillId="0" borderId="0" xfId="0" applyNumberFormat="1" applyFont="1" applyBorder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7"/>
  <sheetViews>
    <sheetView tabSelected="1" topLeftCell="C1" workbookViewId="0">
      <selection activeCell="F53" sqref="F53"/>
    </sheetView>
  </sheetViews>
  <sheetFormatPr baseColWidth="10" defaultRowHeight="14.4"/>
  <cols>
    <col min="2" max="2" width="14.109375" bestFit="1" customWidth="1"/>
    <col min="3" max="3" width="11.6640625" bestFit="1" customWidth="1"/>
    <col min="4" max="4" width="12.6640625" bestFit="1" customWidth="1"/>
    <col min="5" max="5" width="11.109375" customWidth="1"/>
    <col min="6" max="6" width="15.21875" bestFit="1" customWidth="1"/>
    <col min="7" max="7" width="14.88671875" customWidth="1"/>
    <col min="8" max="9" width="11.6640625" bestFit="1" customWidth="1"/>
    <col min="12" max="12" width="17.33203125" customWidth="1"/>
  </cols>
  <sheetData>
    <row r="1" spans="1:11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7" spans="1:11">
      <c r="C7" s="9" t="s">
        <v>28</v>
      </c>
      <c r="E7" s="9" t="s">
        <v>29</v>
      </c>
      <c r="G7" s="9" t="s">
        <v>31</v>
      </c>
    </row>
    <row r="8" spans="1:11">
      <c r="A8">
        <v>615</v>
      </c>
      <c r="B8" s="7">
        <v>1079500</v>
      </c>
      <c r="C8" s="11">
        <v>0.1</v>
      </c>
      <c r="D8" s="12">
        <f>C8*B13</f>
        <v>256190</v>
      </c>
      <c r="E8" s="13">
        <v>622</v>
      </c>
      <c r="F8" s="12">
        <v>141420</v>
      </c>
      <c r="G8" s="13">
        <v>64113</v>
      </c>
      <c r="H8" s="12">
        <v>642402</v>
      </c>
      <c r="J8" t="s">
        <v>30</v>
      </c>
    </row>
    <row r="9" spans="1:11">
      <c r="A9">
        <v>624</v>
      </c>
      <c r="B9" s="7">
        <v>540700</v>
      </c>
      <c r="C9" s="13">
        <v>64110</v>
      </c>
      <c r="D9" s="12">
        <v>437500</v>
      </c>
      <c r="E9" s="13">
        <v>64111</v>
      </c>
      <c r="F9" s="12">
        <v>1908200</v>
      </c>
      <c r="G9" s="14">
        <v>64513</v>
      </c>
      <c r="H9" s="12">
        <v>257600</v>
      </c>
      <c r="J9" t="s">
        <v>32</v>
      </c>
    </row>
    <row r="10" spans="1:11">
      <c r="A10">
        <v>6351</v>
      </c>
      <c r="B10" s="7">
        <v>285100</v>
      </c>
      <c r="C10" s="14">
        <v>64510</v>
      </c>
      <c r="D10" s="12">
        <v>234700</v>
      </c>
      <c r="E10" s="13">
        <v>64112</v>
      </c>
      <c r="F10" s="12">
        <v>486200</v>
      </c>
      <c r="G10" s="11">
        <v>0.2</v>
      </c>
      <c r="H10" s="12">
        <f>B13*G10</f>
        <v>512380</v>
      </c>
      <c r="J10" t="s">
        <v>33</v>
      </c>
    </row>
    <row r="11" spans="1:11" ht="28.8">
      <c r="A11">
        <v>661</v>
      </c>
      <c r="B11" s="7">
        <v>281000</v>
      </c>
      <c r="C11" s="14"/>
      <c r="D11" s="12"/>
      <c r="E11" s="13">
        <v>64511</v>
      </c>
      <c r="F11" s="12">
        <v>1012600</v>
      </c>
      <c r="G11" s="15" t="s">
        <v>34</v>
      </c>
      <c r="H11" s="12">
        <v>9000</v>
      </c>
    </row>
    <row r="12" spans="1:11">
      <c r="A12">
        <v>6811</v>
      </c>
      <c r="B12" s="7">
        <v>375600</v>
      </c>
      <c r="C12" s="14"/>
      <c r="D12" s="12"/>
      <c r="E12" s="13">
        <v>64512</v>
      </c>
      <c r="F12" s="12">
        <v>251900</v>
      </c>
      <c r="G12" s="14"/>
      <c r="H12" s="12"/>
    </row>
    <row r="13" spans="1:11">
      <c r="A13" t="s">
        <v>27</v>
      </c>
      <c r="B13" s="8">
        <f>SUM(B8:B12)</f>
        <v>2561900</v>
      </c>
      <c r="C13" s="14"/>
      <c r="D13" s="12"/>
      <c r="E13" s="11">
        <v>0.7</v>
      </c>
      <c r="F13" s="12">
        <f>E13*B13</f>
        <v>1793330</v>
      </c>
      <c r="G13" s="14"/>
      <c r="H13" s="12"/>
    </row>
    <row r="14" spans="1:11">
      <c r="C14" s="17" t="s">
        <v>35</v>
      </c>
      <c r="D14" s="16">
        <f>SUM(D8:D10)</f>
        <v>928390</v>
      </c>
      <c r="E14" s="17" t="s">
        <v>35</v>
      </c>
      <c r="F14" s="16">
        <f>SUM(F8:F13)</f>
        <v>5593650</v>
      </c>
      <c r="G14" s="17" t="s">
        <v>35</v>
      </c>
      <c r="H14" s="16">
        <f>SUM(H8:H13)</f>
        <v>1421382</v>
      </c>
    </row>
    <row r="16" spans="1:11">
      <c r="F16" t="s">
        <v>46</v>
      </c>
    </row>
    <row r="18" spans="1:14">
      <c r="A18" t="s">
        <v>36</v>
      </c>
      <c r="F18" s="20" t="s">
        <v>42</v>
      </c>
      <c r="G18" s="20"/>
      <c r="H18" s="20"/>
      <c r="I18" s="20"/>
      <c r="K18" s="20" t="s">
        <v>58</v>
      </c>
      <c r="L18" s="20"/>
      <c r="M18" s="20"/>
      <c r="N18" s="20"/>
    </row>
    <row r="20" spans="1:14">
      <c r="B20" t="s">
        <v>37</v>
      </c>
      <c r="C20" s="10">
        <v>3265610</v>
      </c>
      <c r="F20" s="30"/>
      <c r="G20" s="31"/>
      <c r="H20" s="22" t="s">
        <v>0</v>
      </c>
      <c r="I20" s="22" t="s">
        <v>1</v>
      </c>
      <c r="K20" s="30"/>
      <c r="L20" s="31"/>
      <c r="M20" s="22" t="s">
        <v>0</v>
      </c>
      <c r="N20" s="22" t="s">
        <v>1</v>
      </c>
    </row>
    <row r="21" spans="1:14">
      <c r="A21" s="21" t="s">
        <v>52</v>
      </c>
      <c r="B21" t="s">
        <v>28</v>
      </c>
      <c r="C21" s="18">
        <f>D14</f>
        <v>928390</v>
      </c>
      <c r="F21" s="23" t="s">
        <v>43</v>
      </c>
      <c r="G21" s="23"/>
      <c r="H21" s="24">
        <f>46000*C24</f>
        <v>1380000</v>
      </c>
      <c r="I21" s="24">
        <f>93800*C24</f>
        <v>2814000</v>
      </c>
      <c r="K21" s="23" t="s">
        <v>43</v>
      </c>
      <c r="L21" s="23"/>
      <c r="M21" s="24">
        <f>46000*Feuil3!C24</f>
        <v>0</v>
      </c>
      <c r="N21" s="24">
        <f>93800*Feuil3!C24</f>
        <v>0</v>
      </c>
    </row>
    <row r="22" spans="1:14">
      <c r="B22" s="9" t="s">
        <v>38</v>
      </c>
      <c r="C22" s="19">
        <f>C21+C20</f>
        <v>4194000</v>
      </c>
      <c r="F22" s="25" t="s">
        <v>44</v>
      </c>
      <c r="G22" s="25"/>
      <c r="H22" s="24">
        <f>F14*30300/90900</f>
        <v>1864550</v>
      </c>
      <c r="I22" s="24">
        <f>F14*60600/90900</f>
        <v>3729100</v>
      </c>
      <c r="K22" s="25" t="s">
        <v>44</v>
      </c>
      <c r="L22" s="25"/>
      <c r="M22" s="29">
        <f>Feuil3!F14*25500/255000</f>
        <v>0</v>
      </c>
      <c r="N22" s="29">
        <f>Feuil3!F14*229500/255000</f>
        <v>0</v>
      </c>
    </row>
    <row r="23" spans="1:14">
      <c r="A23" s="21" t="s">
        <v>53</v>
      </c>
      <c r="B23" t="s">
        <v>40</v>
      </c>
      <c r="C23">
        <v>139800</v>
      </c>
      <c r="F23" s="25" t="s">
        <v>45</v>
      </c>
      <c r="G23" s="25"/>
      <c r="H23" s="24">
        <f>H21+H22</f>
        <v>3244550</v>
      </c>
      <c r="I23" s="24">
        <f>I21+I22</f>
        <v>6543100</v>
      </c>
      <c r="K23" s="25" t="s">
        <v>45</v>
      </c>
      <c r="L23" s="25"/>
      <c r="M23" s="24">
        <f>M21+M22</f>
        <v>0</v>
      </c>
      <c r="N23" s="24">
        <f>N21+N22</f>
        <v>0</v>
      </c>
    </row>
    <row r="24" spans="1:14">
      <c r="B24" s="9" t="s">
        <v>39</v>
      </c>
      <c r="C24" s="19">
        <f>C22/C23</f>
        <v>30</v>
      </c>
      <c r="D24" t="s">
        <v>41</v>
      </c>
      <c r="F24" s="30"/>
      <c r="G24" s="32"/>
      <c r="H24" s="32"/>
      <c r="I24" s="31"/>
      <c r="K24" s="30"/>
      <c r="L24" s="32"/>
      <c r="M24" s="32"/>
      <c r="N24" s="31"/>
    </row>
    <row r="25" spans="1:14">
      <c r="F25" s="25" t="s">
        <v>47</v>
      </c>
      <c r="G25" s="25"/>
      <c r="H25" s="30"/>
      <c r="I25" s="31"/>
      <c r="K25" s="25" t="s">
        <v>59</v>
      </c>
      <c r="L25" s="25"/>
      <c r="M25" s="30"/>
      <c r="N25" s="31"/>
    </row>
    <row r="26" spans="1:14">
      <c r="F26" s="25" t="s">
        <v>48</v>
      </c>
      <c r="G26" s="25"/>
      <c r="H26" s="24">
        <f>H23</f>
        <v>3244550</v>
      </c>
      <c r="I26" s="24">
        <f>I23</f>
        <v>6543100</v>
      </c>
      <c r="K26" s="25" t="s">
        <v>48</v>
      </c>
      <c r="L26" s="25"/>
      <c r="M26" s="24">
        <f>M23</f>
        <v>0</v>
      </c>
      <c r="N26" s="24">
        <f>N23</f>
        <v>0</v>
      </c>
    </row>
    <row r="27" spans="1:14">
      <c r="F27" s="25" t="s">
        <v>49</v>
      </c>
      <c r="G27" s="25"/>
      <c r="H27" s="24">
        <f>H14*1/3</f>
        <v>473794</v>
      </c>
      <c r="I27" s="24">
        <f>H14*2/3</f>
        <v>947588</v>
      </c>
      <c r="K27" s="25" t="s">
        <v>49</v>
      </c>
      <c r="L27" s="25"/>
      <c r="M27" s="24">
        <f>Feuil3!H14*1/3</f>
        <v>0</v>
      </c>
      <c r="N27" s="24">
        <f>Feuil3!H14*2/3</f>
        <v>0</v>
      </c>
    </row>
    <row r="28" spans="1:14">
      <c r="F28" s="26" t="s">
        <v>50</v>
      </c>
      <c r="G28" s="26"/>
      <c r="H28" s="27">
        <f>H26+H27</f>
        <v>3718344</v>
      </c>
      <c r="I28" s="27">
        <f>I26+I27</f>
        <v>7490688</v>
      </c>
      <c r="K28" s="26" t="s">
        <v>50</v>
      </c>
      <c r="L28" s="26"/>
      <c r="M28" s="27">
        <f>M26+M27</f>
        <v>0</v>
      </c>
      <c r="N28" s="27">
        <f>N26+N27</f>
        <v>0</v>
      </c>
    </row>
    <row r="29" spans="1:14">
      <c r="F29" s="30"/>
      <c r="G29" s="32"/>
      <c r="H29" s="32"/>
      <c r="I29" s="31"/>
      <c r="K29" s="30"/>
      <c r="L29" s="32"/>
      <c r="M29" s="32"/>
      <c r="N29" s="31"/>
    </row>
    <row r="30" spans="1:14" ht="15.6">
      <c r="F30" s="28" t="s">
        <v>21</v>
      </c>
      <c r="G30" s="28"/>
      <c r="H30" s="30"/>
      <c r="I30" s="31"/>
      <c r="K30" s="28" t="s">
        <v>21</v>
      </c>
      <c r="L30" s="28"/>
      <c r="M30" s="30"/>
      <c r="N30" s="31"/>
    </row>
    <row r="31" spans="1:14">
      <c r="F31" s="25" t="s">
        <v>9</v>
      </c>
      <c r="G31" s="25"/>
      <c r="H31" s="12">
        <f>25500*140</f>
        <v>3570000</v>
      </c>
      <c r="I31" s="12">
        <f>229500*35</f>
        <v>8032500</v>
      </c>
      <c r="K31" s="25" t="s">
        <v>9</v>
      </c>
      <c r="L31" s="25"/>
      <c r="M31" s="12">
        <f>25500*140</f>
        <v>3570000</v>
      </c>
      <c r="N31" s="12">
        <f>229500*35</f>
        <v>8032500</v>
      </c>
    </row>
    <row r="32" spans="1:14">
      <c r="F32" s="25" t="s">
        <v>51</v>
      </c>
      <c r="G32" s="25"/>
      <c r="H32" s="12">
        <f>H28</f>
        <v>3718344</v>
      </c>
      <c r="I32" s="12">
        <f>I28</f>
        <v>7490688</v>
      </c>
      <c r="K32" s="25" t="s">
        <v>51</v>
      </c>
      <c r="L32" s="25"/>
      <c r="M32" s="12">
        <f>M28</f>
        <v>0</v>
      </c>
      <c r="N32" s="12">
        <f>N28</f>
        <v>0</v>
      </c>
    </row>
    <row r="33" spans="6:14">
      <c r="F33" s="25" t="s">
        <v>54</v>
      </c>
      <c r="G33" s="25"/>
      <c r="H33" s="24">
        <f>H31-H32</f>
        <v>-148344</v>
      </c>
      <c r="I33" s="24">
        <f>I31-I32</f>
        <v>541812</v>
      </c>
      <c r="K33" s="25" t="s">
        <v>54</v>
      </c>
      <c r="L33" s="25"/>
      <c r="M33" s="24">
        <f>M31-M32</f>
        <v>3570000</v>
      </c>
      <c r="N33" s="24">
        <f>N31-N32</f>
        <v>8032500</v>
      </c>
    </row>
    <row r="35" spans="6:14">
      <c r="F35" t="s">
        <v>55</v>
      </c>
      <c r="K35" t="s">
        <v>60</v>
      </c>
    </row>
    <row r="36" spans="6:14">
      <c r="F36" t="s">
        <v>57</v>
      </c>
      <c r="K36" t="s">
        <v>61</v>
      </c>
    </row>
    <row r="37" spans="6:14">
      <c r="F37" t="s">
        <v>56</v>
      </c>
    </row>
    <row r="39" spans="6:14">
      <c r="F39" s="6" t="s">
        <v>62</v>
      </c>
      <c r="G39" s="6"/>
      <c r="H39" s="6"/>
      <c r="I39" s="6"/>
      <c r="J39" s="6"/>
      <c r="K39" s="6"/>
      <c r="L39" s="6"/>
      <c r="M39" s="6"/>
      <c r="N39" s="6"/>
    </row>
    <row r="40" spans="6:14">
      <c r="F40" s="6"/>
      <c r="G40" s="6"/>
      <c r="H40" s="6"/>
      <c r="I40" s="6"/>
      <c r="J40" s="6"/>
      <c r="K40" s="6"/>
      <c r="L40" s="6"/>
      <c r="M40" s="6"/>
      <c r="N40" s="6"/>
    </row>
    <row r="41" spans="6:14">
      <c r="F41" t="s">
        <v>63</v>
      </c>
    </row>
    <row r="42" spans="6:14">
      <c r="F42" t="s">
        <v>64</v>
      </c>
    </row>
    <row r="44" spans="6:14">
      <c r="F44" t="s">
        <v>66</v>
      </c>
    </row>
    <row r="45" spans="6:14">
      <c r="F45" s="33" t="s">
        <v>65</v>
      </c>
      <c r="G45" s="33"/>
      <c r="H45" s="33"/>
      <c r="I45" s="33"/>
      <c r="J45" s="33"/>
      <c r="K45" s="33"/>
      <c r="L45" s="33"/>
      <c r="M45" s="33"/>
      <c r="N45" s="33"/>
    </row>
    <row r="46" spans="6:14">
      <c r="F46" s="34" t="s">
        <v>67</v>
      </c>
      <c r="G46" s="34"/>
      <c r="H46" s="34"/>
      <c r="I46" s="34"/>
      <c r="J46" s="34"/>
      <c r="K46" s="34"/>
      <c r="L46" s="34"/>
      <c r="M46" s="34"/>
      <c r="N46" s="34"/>
    </row>
    <row r="47" spans="6:14">
      <c r="F47" t="s">
        <v>68</v>
      </c>
    </row>
  </sheetData>
  <mergeCells count="39">
    <mergeCell ref="K20:L20"/>
    <mergeCell ref="F45:N45"/>
    <mergeCell ref="F46:N46"/>
    <mergeCell ref="H30:I30"/>
    <mergeCell ref="F29:I29"/>
    <mergeCell ref="F24:I24"/>
    <mergeCell ref="K24:N24"/>
    <mergeCell ref="M25:N25"/>
    <mergeCell ref="K29:N29"/>
    <mergeCell ref="M30:N30"/>
    <mergeCell ref="K22:L22"/>
    <mergeCell ref="K23:L23"/>
    <mergeCell ref="K25:L25"/>
    <mergeCell ref="F39:N40"/>
    <mergeCell ref="F18:I18"/>
    <mergeCell ref="F20:G20"/>
    <mergeCell ref="H25:I25"/>
    <mergeCell ref="F33:G33"/>
    <mergeCell ref="K33:L33"/>
    <mergeCell ref="K18:N18"/>
    <mergeCell ref="K26:L26"/>
    <mergeCell ref="K27:L27"/>
    <mergeCell ref="K28:L28"/>
    <mergeCell ref="K30:L30"/>
    <mergeCell ref="K31:L31"/>
    <mergeCell ref="K32:L32"/>
    <mergeCell ref="K21:L21"/>
    <mergeCell ref="F26:G26"/>
    <mergeCell ref="F27:G27"/>
    <mergeCell ref="F28:G28"/>
    <mergeCell ref="F30:G30"/>
    <mergeCell ref="F31:G31"/>
    <mergeCell ref="F32:G32"/>
    <mergeCell ref="F21:G21"/>
    <mergeCell ref="F22:G22"/>
    <mergeCell ref="F23:G23"/>
    <mergeCell ref="F25:G25"/>
    <mergeCell ref="A1:K1"/>
    <mergeCell ref="A2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F51"/>
  <sheetViews>
    <sheetView workbookViewId="0">
      <selection activeCell="B45" sqref="B45"/>
    </sheetView>
  </sheetViews>
  <sheetFormatPr baseColWidth="10" defaultRowHeight="14.4"/>
  <cols>
    <col min="1" max="1" width="31" style="1" bestFit="1" customWidth="1"/>
    <col min="2" max="2" width="14.21875" style="1" customWidth="1"/>
    <col min="3" max="3" width="14.33203125" style="1" customWidth="1"/>
    <col min="4" max="4" width="11.5546875" style="1"/>
    <col min="5" max="5" width="13.33203125" style="1" bestFit="1" customWidth="1"/>
    <col min="6" max="6" width="11.6640625" style="1" bestFit="1" customWidth="1"/>
  </cols>
  <sheetData>
    <row r="3" spans="1:6">
      <c r="B3" s="1" t="s">
        <v>0</v>
      </c>
      <c r="C3" s="1" t="s">
        <v>1</v>
      </c>
    </row>
    <row r="4" spans="1:6" ht="15.6">
      <c r="A4" s="3" t="s">
        <v>11</v>
      </c>
    </row>
    <row r="5" spans="1:6">
      <c r="A5" s="1" t="s">
        <v>2</v>
      </c>
      <c r="B5" s="1">
        <v>46000</v>
      </c>
      <c r="C5" s="1">
        <v>93800</v>
      </c>
    </row>
    <row r="6" spans="1:6">
      <c r="A6" s="1" t="s">
        <v>10</v>
      </c>
      <c r="B6" s="1">
        <f>B8*E48/B5</f>
        <v>23.66384057971014</v>
      </c>
      <c r="C6" s="1">
        <f>C8*3265610/C5</f>
        <v>23.209737029140012</v>
      </c>
    </row>
    <row r="7" spans="1:6">
      <c r="A7" s="1" t="s">
        <v>4</v>
      </c>
      <c r="B7" s="1">
        <f>30300/25500</f>
        <v>1.1882352941176471</v>
      </c>
      <c r="C7" s="1">
        <f>60600/229500</f>
        <v>0.26405228758169935</v>
      </c>
      <c r="E7" s="1" t="s">
        <v>5</v>
      </c>
      <c r="F7" s="1">
        <f>30300+60600</f>
        <v>90900</v>
      </c>
    </row>
    <row r="8" spans="1:6">
      <c r="A8" s="1" t="s">
        <v>6</v>
      </c>
      <c r="B8" s="4">
        <f>30300/F7</f>
        <v>0.33333333333333331</v>
      </c>
      <c r="C8" s="4">
        <f>60600/F7</f>
        <v>0.66666666666666663</v>
      </c>
    </row>
    <row r="9" spans="1:6">
      <c r="A9" s="2" t="s">
        <v>3</v>
      </c>
      <c r="B9" s="2">
        <f>E48*B8</f>
        <v>1088536.6666666665</v>
      </c>
      <c r="C9" s="2">
        <f>E48*C8</f>
        <v>2177073.333333333</v>
      </c>
      <c r="E9" s="1">
        <f>B9+C9</f>
        <v>3265609.9999999995</v>
      </c>
    </row>
    <row r="10" spans="1:6">
      <c r="A10" s="2"/>
      <c r="B10" s="2"/>
      <c r="C10" s="2"/>
    </row>
    <row r="11" spans="1:6">
      <c r="A11" s="5" t="s">
        <v>12</v>
      </c>
      <c r="B11" s="5">
        <f>10%*B8*E11</f>
        <v>35983.333333333336</v>
      </c>
      <c r="C11" s="5">
        <f>10%*C8*E11</f>
        <v>71966.666666666672</v>
      </c>
      <c r="D11" s="5"/>
      <c r="E11" s="5">
        <v>1079500</v>
      </c>
    </row>
    <row r="12" spans="1:6">
      <c r="A12" s="5" t="s">
        <v>13</v>
      </c>
      <c r="B12" s="5">
        <f>10%*B8*E12</f>
        <v>18023.333333333332</v>
      </c>
      <c r="C12" s="5">
        <f>10%*C8*E12</f>
        <v>36046.666666666664</v>
      </c>
      <c r="D12" s="5"/>
      <c r="E12" s="5">
        <v>540700</v>
      </c>
    </row>
    <row r="13" spans="1:6">
      <c r="A13" s="5" t="s">
        <v>14</v>
      </c>
      <c r="B13" s="5">
        <f>10%*E13*B8</f>
        <v>9503.3333333333321</v>
      </c>
      <c r="C13" s="5">
        <f>10%*E13*C8</f>
        <v>19006.666666666664</v>
      </c>
      <c r="D13" s="5"/>
      <c r="E13" s="5">
        <v>285100</v>
      </c>
    </row>
    <row r="14" spans="1:6">
      <c r="A14" s="5" t="s">
        <v>15</v>
      </c>
      <c r="B14" s="5">
        <f>10%*B8*$E$14</f>
        <v>9366.6666666666661</v>
      </c>
      <c r="C14" s="5">
        <f>10%*C8*$E$14</f>
        <v>18733.333333333332</v>
      </c>
      <c r="D14" s="5"/>
      <c r="E14" s="5">
        <v>281000</v>
      </c>
    </row>
    <row r="15" spans="1:6">
      <c r="A15" s="5" t="s">
        <v>16</v>
      </c>
      <c r="B15" s="5">
        <f>10%*B8*$E$15</f>
        <v>12520</v>
      </c>
      <c r="C15" s="5">
        <f>10%*C8*$E$15</f>
        <v>25040</v>
      </c>
      <c r="D15" s="5"/>
      <c r="E15" s="5">
        <v>375600</v>
      </c>
    </row>
    <row r="16" spans="1:6">
      <c r="A16" s="1" t="s">
        <v>17</v>
      </c>
      <c r="B16" s="1">
        <f>E16*B8</f>
        <v>145833.33333333331</v>
      </c>
      <c r="C16" s="1">
        <f>E16*C8</f>
        <v>291666.66666666663</v>
      </c>
      <c r="E16" s="1">
        <v>437500</v>
      </c>
    </row>
    <row r="17" spans="1:5">
      <c r="A17" s="1" t="s">
        <v>18</v>
      </c>
      <c r="B17" s="1">
        <f>E17*$B$8</f>
        <v>78233.333333333328</v>
      </c>
      <c r="C17" s="1">
        <f>E17*$C$8</f>
        <v>156466.66666666666</v>
      </c>
      <c r="E17" s="1">
        <v>234700</v>
      </c>
    </row>
    <row r="18" spans="1:5">
      <c r="A18" s="2" t="s">
        <v>19</v>
      </c>
      <c r="B18" s="2">
        <f>SUM(B11:B17)</f>
        <v>309463.33333333331</v>
      </c>
      <c r="C18" s="2">
        <f>SUM(C11:C17)</f>
        <v>618926.66666666663</v>
      </c>
    </row>
    <row r="19" spans="1:5">
      <c r="A19" s="1" t="s">
        <v>20</v>
      </c>
      <c r="B19" s="1">
        <f>B18/B5</f>
        <v>6.7274637681159417</v>
      </c>
      <c r="C19" s="1">
        <f>C18/C5</f>
        <v>6.5983653162757641</v>
      </c>
    </row>
    <row r="22" spans="1:5" ht="15.6">
      <c r="A22" s="3" t="s">
        <v>22</v>
      </c>
    </row>
    <row r="23" spans="1:5">
      <c r="A23" s="1" t="str">
        <f>A8</f>
        <v>% utilisé par produit</v>
      </c>
      <c r="B23" s="1">
        <f>B8</f>
        <v>0.33333333333333331</v>
      </c>
      <c r="C23" s="1">
        <f>C8</f>
        <v>0.66666666666666663</v>
      </c>
      <c r="E23" s="1">
        <v>0.7</v>
      </c>
    </row>
    <row r="24" spans="1:5">
      <c r="A24" s="5" t="s">
        <v>12</v>
      </c>
      <c r="B24" s="5">
        <f>E23*B23*E24</f>
        <v>251883.33333333331</v>
      </c>
      <c r="C24" s="5">
        <f>E23*C23*E24</f>
        <v>503766.66666666663</v>
      </c>
      <c r="D24" s="5"/>
      <c r="E24" s="5">
        <v>1079500</v>
      </c>
    </row>
    <row r="25" spans="1:5">
      <c r="A25" s="5" t="s">
        <v>13</v>
      </c>
      <c r="B25" s="5">
        <f>E23*B23*E25</f>
        <v>126163.33333333331</v>
      </c>
      <c r="C25" s="5">
        <f>E23*C23*E25</f>
        <v>252326.66666666663</v>
      </c>
      <c r="D25" s="5"/>
      <c r="E25" s="5">
        <v>540700</v>
      </c>
    </row>
    <row r="26" spans="1:5">
      <c r="A26" s="5" t="s">
        <v>14</v>
      </c>
      <c r="B26" s="5">
        <f>E23*E26*B23</f>
        <v>66523.333333333328</v>
      </c>
      <c r="C26" s="5">
        <f>E23*E26*C23</f>
        <v>133046.66666666666</v>
      </c>
      <c r="D26" s="5"/>
      <c r="E26" s="5">
        <v>285100</v>
      </c>
    </row>
    <row r="27" spans="1:5">
      <c r="A27" s="5" t="s">
        <v>15</v>
      </c>
      <c r="B27" s="5">
        <f>E23*B23*$E$14</f>
        <v>65566.666666666657</v>
      </c>
      <c r="C27" s="5">
        <f>E23*C23*$E$14</f>
        <v>131133.33333333331</v>
      </c>
      <c r="D27" s="5"/>
      <c r="E27" s="5">
        <v>281000</v>
      </c>
    </row>
    <row r="28" spans="1:5">
      <c r="A28" s="5" t="s">
        <v>16</v>
      </c>
      <c r="B28" s="5">
        <f>E23*B23*$E$15</f>
        <v>87639.999999999985</v>
      </c>
      <c r="C28" s="5">
        <f>E23*C23*$E$15</f>
        <v>175279.99999999997</v>
      </c>
      <c r="D28" s="5"/>
      <c r="E28" s="5">
        <v>375600</v>
      </c>
    </row>
    <row r="34" spans="1:5" ht="15.6">
      <c r="A34" s="3" t="s">
        <v>23</v>
      </c>
    </row>
    <row r="35" spans="1:5">
      <c r="A35" s="1" t="str">
        <f>A23</f>
        <v>% utilisé par produit</v>
      </c>
      <c r="B35" s="1">
        <f>B23</f>
        <v>0.33333333333333331</v>
      </c>
      <c r="C35" s="1">
        <f>C23</f>
        <v>0.66666666666666663</v>
      </c>
      <c r="E35" s="1">
        <v>0.2</v>
      </c>
    </row>
    <row r="36" spans="1:5">
      <c r="A36" s="5" t="s">
        <v>12</v>
      </c>
      <c r="B36" s="5">
        <f>E35*B35*E36</f>
        <v>71966.666666666672</v>
      </c>
      <c r="C36" s="5">
        <f>E35*C35*E36</f>
        <v>143933.33333333334</v>
      </c>
      <c r="D36" s="5"/>
      <c r="E36" s="5">
        <v>1079500</v>
      </c>
    </row>
    <row r="37" spans="1:5">
      <c r="A37" s="5" t="s">
        <v>13</v>
      </c>
      <c r="B37" s="5">
        <f>E35*B35*E37</f>
        <v>36046.666666666664</v>
      </c>
      <c r="C37" s="5">
        <f>E35*C35*E37</f>
        <v>72093.333333333328</v>
      </c>
      <c r="D37" s="5"/>
      <c r="E37" s="5">
        <v>540700</v>
      </c>
    </row>
    <row r="38" spans="1:5">
      <c r="A38" s="5" t="s">
        <v>14</v>
      </c>
      <c r="B38" s="5">
        <f>E35*E38*B35</f>
        <v>19006.666666666664</v>
      </c>
      <c r="C38" s="5">
        <f>E35*E38*C35</f>
        <v>38013.333333333328</v>
      </c>
      <c r="D38" s="5"/>
      <c r="E38" s="5">
        <v>285100</v>
      </c>
    </row>
    <row r="39" spans="1:5">
      <c r="A39" s="5" t="s">
        <v>15</v>
      </c>
      <c r="B39" s="5">
        <f>E35*B35*$E$14</f>
        <v>18733.333333333332</v>
      </c>
      <c r="C39" s="5">
        <f>E35*C35*$E$14</f>
        <v>37466.666666666664</v>
      </c>
      <c r="D39" s="5"/>
      <c r="E39" s="5">
        <v>281000</v>
      </c>
    </row>
    <row r="40" spans="1:5">
      <c r="A40" s="5" t="s">
        <v>16</v>
      </c>
      <c r="B40" s="5">
        <f>E35*B35*$E$15</f>
        <v>25040</v>
      </c>
      <c r="C40" s="5">
        <f>E35*C35*$E$15</f>
        <v>50080</v>
      </c>
      <c r="D40" s="5"/>
      <c r="E40" s="5">
        <v>375600</v>
      </c>
    </row>
    <row r="41" spans="1:5">
      <c r="A41" s="1" t="s">
        <v>24</v>
      </c>
      <c r="B41" s="5">
        <f>E$35*B$35*E41</f>
        <v>9428</v>
      </c>
      <c r="C41" s="5">
        <f>C35*E35*E41</f>
        <v>18856</v>
      </c>
      <c r="D41" s="5"/>
      <c r="E41" s="5">
        <v>141420</v>
      </c>
    </row>
    <row r="42" spans="1:5">
      <c r="A42" s="5"/>
      <c r="B42" s="5"/>
      <c r="C42" s="5"/>
      <c r="D42" s="5"/>
      <c r="E42" s="5"/>
    </row>
    <row r="43" spans="1:5">
      <c r="A43" s="5"/>
      <c r="B43" s="5"/>
      <c r="C43" s="5"/>
      <c r="D43" s="5"/>
      <c r="E43" s="5"/>
    </row>
    <row r="44" spans="1:5">
      <c r="A44" s="5"/>
      <c r="B44" s="5"/>
      <c r="C44" s="5"/>
      <c r="D44" s="5"/>
      <c r="E44" s="5"/>
    </row>
    <row r="45" spans="1:5">
      <c r="A45" s="5"/>
      <c r="B45" s="5"/>
      <c r="C45" s="5"/>
      <c r="D45" s="5"/>
      <c r="E45" s="5"/>
    </row>
    <row r="46" spans="1:5">
      <c r="A46" s="5"/>
      <c r="B46" s="5"/>
      <c r="C46" s="5"/>
      <c r="D46" s="5"/>
      <c r="E46" s="5"/>
    </row>
    <row r="48" spans="1:5">
      <c r="E48" s="1">
        <v>3265610</v>
      </c>
    </row>
    <row r="49" spans="1:5">
      <c r="A49" s="1" t="s">
        <v>7</v>
      </c>
      <c r="B49" s="1">
        <v>25500</v>
      </c>
      <c r="C49" s="1">
        <v>229500</v>
      </c>
      <c r="E49" s="1">
        <v>1079500</v>
      </c>
    </row>
    <row r="50" spans="1:5">
      <c r="A50" s="1" t="s">
        <v>8</v>
      </c>
      <c r="B50" s="1">
        <v>140</v>
      </c>
      <c r="C50" s="1">
        <v>35</v>
      </c>
      <c r="E50" s="1">
        <v>141420</v>
      </c>
    </row>
    <row r="51" spans="1:5">
      <c r="A51" s="2" t="s">
        <v>9</v>
      </c>
      <c r="B51" s="2">
        <f>B50*B49</f>
        <v>3570000</v>
      </c>
      <c r="C51" s="2">
        <f>C50*C49</f>
        <v>8032500</v>
      </c>
      <c r="E51" s="1">
        <f>B51+C51</f>
        <v>11602500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D14" sqref="D14"/>
    </sheetView>
  </sheetViews>
  <sheetFormatPr baseColWidth="10" defaultRowHeight="14.4"/>
  <cols>
    <col min="1" max="1" width="11.5546875" style="36"/>
    <col min="2" max="2" width="14.109375" style="36" bestFit="1" customWidth="1"/>
    <col min="3" max="3" width="11.6640625" style="36" bestFit="1" customWidth="1"/>
    <col min="4" max="4" width="12.6640625" style="36" bestFit="1" customWidth="1"/>
    <col min="5" max="5" width="11.5546875" style="36"/>
    <col min="6" max="6" width="15.21875" style="36" bestFit="1" customWidth="1"/>
    <col min="7" max="7" width="14.109375" style="36" customWidth="1"/>
    <col min="8" max="9" width="11.6640625" style="36" bestFit="1" customWidth="1"/>
    <col min="10" max="16384" width="11.5546875" style="36"/>
  </cols>
  <sheetData>
    <row r="1" spans="1:1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</row>
    <row r="7" spans="1:11">
      <c r="C7" s="37"/>
      <c r="E7" s="37"/>
      <c r="G7" s="37"/>
    </row>
    <row r="8" spans="1:11">
      <c r="B8" s="38"/>
      <c r="C8" s="39"/>
      <c r="D8" s="40"/>
      <c r="E8" s="41"/>
      <c r="F8" s="40"/>
      <c r="G8" s="41"/>
      <c r="H8" s="40"/>
    </row>
    <row r="9" spans="1:11">
      <c r="B9" s="38"/>
      <c r="C9" s="41"/>
      <c r="D9" s="40"/>
      <c r="E9" s="41"/>
      <c r="F9" s="40"/>
      <c r="H9" s="40"/>
    </row>
    <row r="10" spans="1:11">
      <c r="B10" s="38"/>
      <c r="D10" s="40"/>
      <c r="E10" s="41"/>
      <c r="F10" s="40"/>
      <c r="G10" s="39"/>
      <c r="H10" s="40"/>
    </row>
    <row r="11" spans="1:11">
      <c r="B11" s="38"/>
      <c r="D11" s="40"/>
      <c r="E11" s="41"/>
      <c r="F11" s="40"/>
      <c r="G11" s="42"/>
      <c r="H11" s="40"/>
    </row>
    <row r="12" spans="1:11">
      <c r="B12" s="38"/>
      <c r="D12" s="40"/>
      <c r="E12" s="41"/>
      <c r="F12" s="40"/>
      <c r="H12" s="40"/>
    </row>
    <row r="13" spans="1:11">
      <c r="B13" s="43"/>
      <c r="D13" s="40"/>
      <c r="E13" s="39"/>
      <c r="F13" s="40"/>
      <c r="H13" s="40"/>
    </row>
    <row r="14" spans="1:11">
      <c r="C14" s="37"/>
      <c r="D14" s="44"/>
      <c r="E14" s="37"/>
      <c r="F14" s="44"/>
      <c r="G14" s="37"/>
      <c r="H14" s="44"/>
    </row>
    <row r="18" spans="1:5">
      <c r="A18" s="35"/>
      <c r="B18" s="35"/>
      <c r="C18" s="35"/>
      <c r="D18" s="35"/>
      <c r="E18" s="35"/>
    </row>
    <row r="20" spans="1:5">
      <c r="C20" s="40"/>
    </row>
    <row r="21" spans="1:5">
      <c r="A21" s="45"/>
      <c r="C21" s="46"/>
    </row>
    <row r="22" spans="1:5">
      <c r="B22" s="37"/>
      <c r="C22" s="47"/>
    </row>
    <row r="23" spans="1:5">
      <c r="A23" s="45"/>
    </row>
    <row r="24" spans="1:5">
      <c r="B24" s="37"/>
      <c r="C24" s="47"/>
    </row>
  </sheetData>
  <mergeCells count="3">
    <mergeCell ref="A18:E18"/>
    <mergeCell ref="A1:K1"/>
    <mergeCell ref="A2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Correction</vt:lpstr>
      <vt:lpstr>Feuil1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Séverine</dc:creator>
  <cp:lastModifiedBy>Séverine</cp:lastModifiedBy>
  <dcterms:created xsi:type="dcterms:W3CDTF">2012-01-10T13:27:04Z</dcterms:created>
  <dcterms:modified xsi:type="dcterms:W3CDTF">2012-01-10T21:24:55Z</dcterms:modified>
</cp:coreProperties>
</file>